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wagner/Desktop/PGY 5 : 6 Research/EWagner Data/Writing/Writing/Supplementary Info/"/>
    </mc:Choice>
  </mc:AlternateContent>
  <xr:revisionPtr revIDLastSave="0" documentId="13_ncr:1_{03C23CF3-F901-C441-9442-9DE128F40ADD}" xr6:coauthVersionLast="47" xr6:coauthVersionMax="47" xr10:uidLastSave="{00000000-0000-0000-0000-000000000000}"/>
  <bookViews>
    <workbookView xWindow="0" yWindow="500" windowWidth="28800" windowHeight="16500" xr2:uid="{00000000-000D-0000-FFFF-FFFF00000000}"/>
  </bookViews>
  <sheets>
    <sheet name="Qualitative" sheetId="2" r:id="rId1"/>
    <sheet name="Quantitative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  <c r="O16" i="1"/>
  <c r="O17" i="1"/>
  <c r="O6" i="1"/>
  <c r="O7" i="1"/>
  <c r="O8" i="1"/>
  <c r="O9" i="1"/>
  <c r="O10" i="1"/>
  <c r="O11" i="1"/>
  <c r="O12" i="1"/>
  <c r="O13" i="1"/>
  <c r="O14" i="1"/>
  <c r="O5" i="1"/>
  <c r="O3" i="1"/>
  <c r="O4" i="1"/>
  <c r="N15" i="1"/>
  <c r="N16" i="1"/>
  <c r="N17" i="1"/>
  <c r="N14" i="1"/>
  <c r="N9" i="1"/>
  <c r="N10" i="1"/>
  <c r="N11" i="1"/>
  <c r="N12" i="1"/>
  <c r="N8" i="1"/>
  <c r="N3" i="1"/>
  <c r="N4" i="1"/>
  <c r="N5" i="1"/>
  <c r="N6" i="1"/>
  <c r="N13" i="1"/>
  <c r="N7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K16" i="1"/>
  <c r="K17" i="1"/>
  <c r="K15" i="1"/>
  <c r="K14" i="1"/>
  <c r="K13" i="1"/>
  <c r="K3" i="1"/>
  <c r="K4" i="1"/>
  <c r="K5" i="1"/>
  <c r="K6" i="1"/>
  <c r="K7" i="1"/>
  <c r="K8" i="1"/>
  <c r="K9" i="1"/>
  <c r="K10" i="1"/>
  <c r="K11" i="1"/>
  <c r="K12" i="1"/>
  <c r="J6" i="1"/>
  <c r="J7" i="1"/>
  <c r="J8" i="1"/>
  <c r="J9" i="1"/>
  <c r="J10" i="1"/>
  <c r="J11" i="1"/>
  <c r="J12" i="1"/>
  <c r="J13" i="1"/>
  <c r="J14" i="1"/>
  <c r="J15" i="1"/>
  <c r="J16" i="1"/>
  <c r="J17" i="1"/>
  <c r="J5" i="1"/>
  <c r="J4" i="1"/>
  <c r="J3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E14" i="1"/>
  <c r="E17" i="1"/>
  <c r="E16" i="1"/>
  <c r="E15" i="1"/>
  <c r="E13" i="1"/>
  <c r="E12" i="1"/>
  <c r="E11" i="1"/>
  <c r="E10" i="1"/>
  <c r="E9" i="1"/>
  <c r="E8" i="1"/>
  <c r="E7" i="1"/>
  <c r="E6" i="1"/>
  <c r="E5" i="1"/>
  <c r="E4" i="1"/>
  <c r="E3" i="1"/>
  <c r="D4" i="1"/>
  <c r="C16" i="1"/>
  <c r="C17" i="1"/>
  <c r="C10" i="1"/>
  <c r="C7" i="1"/>
  <c r="C4" i="1"/>
</calcChain>
</file>

<file path=xl/sharedStrings.xml><?xml version="1.0" encoding="utf-8"?>
<sst xmlns="http://schemas.openxmlformats.org/spreadsheetml/2006/main" count="351" uniqueCount="58">
  <si>
    <t>sampleid</t>
  </si>
  <si>
    <t>X3.oxolithocholic.acid</t>
  </si>
  <si>
    <t>allocholic.acid</t>
  </si>
  <si>
    <t>alloisolithocholic.acid</t>
  </si>
  <si>
    <t>chenodeoxycholic.acid</t>
  </si>
  <si>
    <t>cholic.acid</t>
  </si>
  <si>
    <t>deoxycholic.acid</t>
  </si>
  <si>
    <t>glycochenodeoxycholic.acid</t>
  </si>
  <si>
    <t>glycocholic.acid</t>
  </si>
  <si>
    <t>isodeoxycholic.acid</t>
  </si>
  <si>
    <t>lithocholic.acid</t>
  </si>
  <si>
    <t>taurochenodeoxycholic.acid</t>
  </si>
  <si>
    <t>taurocholic.acid</t>
  </si>
  <si>
    <t>ursocholic.acid</t>
  </si>
  <si>
    <t>ursodeoxycholic.acid</t>
  </si>
  <si>
    <t>100003.C.052</t>
  </si>
  <si>
    <t>100007.DOL38</t>
  </si>
  <si>
    <t>100010.DOL31</t>
  </si>
  <si>
    <t>100012.DOL28</t>
  </si>
  <si>
    <t>100014.DOL41</t>
  </si>
  <si>
    <t>100015.DOL13</t>
  </si>
  <si>
    <t>100016.DOL19</t>
  </si>
  <si>
    <t>100020.DOL21</t>
  </si>
  <si>
    <t>100021.DOL32</t>
  </si>
  <si>
    <t>100026.DOL54</t>
  </si>
  <si>
    <t>100041.C.053</t>
  </si>
  <si>
    <t>100043.DOL19</t>
  </si>
  <si>
    <t>100060.C.051</t>
  </si>
  <si>
    <t>100076.C.054</t>
  </si>
  <si>
    <t>100108.DOL11</t>
  </si>
  <si>
    <t>Est Technical Error</t>
  </si>
  <si>
    <t>tauro.alpha.or.tauro.beta.muricholic.acid</t>
  </si>
  <si>
    <t>glycodehydrocholic.acid</t>
  </si>
  <si>
    <t>glycodeoxycholic.acid</t>
  </si>
  <si>
    <t>glycoursodeoxycholic.acid</t>
  </si>
  <si>
    <t>glycolithocholic.acid</t>
  </si>
  <si>
    <t>glycohyodeoxycholic.acid</t>
  </si>
  <si>
    <t>omega.muricholic.or.3.epicholic.acid</t>
  </si>
  <si>
    <t>beta.muricholic.acid</t>
  </si>
  <si>
    <t>gamma.muricholic.acid</t>
  </si>
  <si>
    <t>alpha.muricholic.acid</t>
  </si>
  <si>
    <t>allolithocholic.acid</t>
  </si>
  <si>
    <t>hyodeoxycholic.acid</t>
  </si>
  <si>
    <t>X3.deoxycholic.acid</t>
  </si>
  <si>
    <t>isolithocholic.acid</t>
  </si>
  <si>
    <t>X12.oxochenodeoxycholic.acid</t>
  </si>
  <si>
    <t>X7.oxodeoxycholic.acid</t>
  </si>
  <si>
    <t>X3.oxocholic.acid</t>
  </si>
  <si>
    <t>X3.oxodeoxycholic.acid.or.3.oxochenodeoxycholic.acid</t>
  </si>
  <si>
    <t>X7.oxo.or.6.oxolithocholic.acid</t>
  </si>
  <si>
    <t>X12.oxolithocholic.acid</t>
  </si>
  <si>
    <t>taurodeoxycholic.acid</t>
  </si>
  <si>
    <t>taurolithocholic.acid</t>
  </si>
  <si>
    <t>tauroursodeoxycholic.acid</t>
  </si>
  <si>
    <t>taurohyodeoxycholic.acid</t>
  </si>
  <si>
    <t>X7.12.dioxolithocholic.acid</t>
  </si>
  <si>
    <t>beta.hyodeoxycholic.acid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</si>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</sst>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33" borderId="0" xfId="0" applyFill="1"/>
    <xf numFmtId="0" fontId="0" fillId="0" borderId="0" xfId="0" applyAlignment="1">
      <alignment wrapText="1"/>
    </xf>
    <xf numFmtId="0" fontId="18" fillId="0" borderId="0" xfId="0" applyFont="1"/>
    <xf numFmtId="2" fontId="18" fillId="0" borderId="0" xfId="0" applyNumberFormat="1" applyFont="1"/>
    <xf numFmtId="2" fontId="18" fillId="0" borderId="0" xfId="0" applyNumberFormat="1" applyFont="1" applyAlignment="1">
      <alignment wrapText="1"/>
    </xf>
    <xf numFmtId="2" fontId="0" fillId="0" borderId="0" xfId="0" applyNumberFormat="1"/>
    <xf numFmtId="2" fontId="0" fillId="0" borderId="0" xfId="0" applyNumberFormat="1" applyAlignment="1">
      <alignment wrapText="1"/>
    </xf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8636A-6A40-704A-950F-98FBFB368236}">
  <dimension ref="A1:AO15"/>
  <sheetViews>
    <sheetView tabSelected="1" workbookViewId="0">
      <selection activeCell="B28" sqref="B28"/>
    </sheetView>
  </sheetViews>
  <sheetFormatPr baseColWidth="10" defaultRowHeight="16" x14ac:dyDescent="0.2"/>
  <cols>
    <col min="1" max="1" width="27.1640625" customWidth="1"/>
  </cols>
  <sheetData>
    <row r="1" spans="1:41" x14ac:dyDescent="0.2">
      <c r="A1" t="s">
        <v>0</v>
      </c>
      <c r="B1" t="s">
        <v>5</v>
      </c>
      <c r="C1" t="s">
        <v>6</v>
      </c>
      <c r="D1" t="s">
        <v>10</v>
      </c>
      <c r="E1" t="s">
        <v>8</v>
      </c>
      <c r="F1" t="s">
        <v>12</v>
      </c>
      <c r="G1" t="s">
        <v>9</v>
      </c>
      <c r="H1" t="s">
        <v>3</v>
      </c>
      <c r="I1" t="s">
        <v>1</v>
      </c>
      <c r="J1" t="s">
        <v>31</v>
      </c>
      <c r="K1" t="s">
        <v>32</v>
      </c>
      <c r="L1" t="s">
        <v>7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2</v>
      </c>
      <c r="V1" t="s">
        <v>4</v>
      </c>
      <c r="W1" t="s">
        <v>41</v>
      </c>
      <c r="X1" t="s">
        <v>14</v>
      </c>
      <c r="Y1" t="s">
        <v>42</v>
      </c>
      <c r="Z1" t="s">
        <v>43</v>
      </c>
      <c r="AA1" t="s">
        <v>44</v>
      </c>
      <c r="AB1" t="s">
        <v>45</v>
      </c>
      <c r="AC1" t="s">
        <v>46</v>
      </c>
      <c r="AD1" t="s">
        <v>47</v>
      </c>
      <c r="AE1" t="s">
        <v>48</v>
      </c>
      <c r="AF1" t="s">
        <v>49</v>
      </c>
      <c r="AG1" t="s">
        <v>50</v>
      </c>
      <c r="AH1" t="s">
        <v>51</v>
      </c>
      <c r="AI1" t="s">
        <v>52</v>
      </c>
      <c r="AJ1" t="s">
        <v>11</v>
      </c>
      <c r="AK1" t="s">
        <v>53</v>
      </c>
      <c r="AL1" t="s">
        <v>54</v>
      </c>
      <c r="AM1" t="s">
        <v>55</v>
      </c>
      <c r="AN1" t="s">
        <v>13</v>
      </c>
      <c r="AO1" t="s">
        <v>56</v>
      </c>
    </row>
    <row r="2" spans="1:41" x14ac:dyDescent="0.2">
      <c r="A2" t="s">
        <v>15</v>
      </c>
      <c r="B2">
        <v>1.2255912000000001E-2</v>
      </c>
      <c r="C2">
        <v>5.5906489999999996E-3</v>
      </c>
      <c r="D2" t="s">
        <v>57</v>
      </c>
      <c r="E2">
        <v>0.17589886299999999</v>
      </c>
      <c r="F2">
        <v>0.71096724099999997</v>
      </c>
      <c r="G2" t="s">
        <v>57</v>
      </c>
      <c r="H2" t="s">
        <v>57</v>
      </c>
      <c r="I2" t="s">
        <v>57</v>
      </c>
      <c r="J2">
        <v>2.1294355000000001E-2</v>
      </c>
      <c r="K2">
        <v>2.6866400000000001E-3</v>
      </c>
      <c r="L2">
        <v>0.66552019200000001</v>
      </c>
      <c r="M2">
        <v>2.1651399999999999E-3</v>
      </c>
      <c r="N2" t="s">
        <v>57</v>
      </c>
      <c r="O2">
        <v>1.17E-3</v>
      </c>
      <c r="P2">
        <v>5.6989379999999997E-3</v>
      </c>
      <c r="Q2" t="s">
        <v>57</v>
      </c>
      <c r="R2" t="s">
        <v>57</v>
      </c>
      <c r="S2" t="s">
        <v>57</v>
      </c>
      <c r="T2" t="s">
        <v>57</v>
      </c>
      <c r="U2" t="s">
        <v>57</v>
      </c>
      <c r="V2">
        <v>4.7494901999999999E-2</v>
      </c>
      <c r="W2" t="s">
        <v>57</v>
      </c>
      <c r="X2" t="s">
        <v>57</v>
      </c>
      <c r="Y2" t="s">
        <v>57</v>
      </c>
      <c r="Z2" t="s">
        <v>57</v>
      </c>
      <c r="AA2" t="s">
        <v>57</v>
      </c>
      <c r="AB2" t="s">
        <v>57</v>
      </c>
      <c r="AC2" t="s">
        <v>57</v>
      </c>
      <c r="AD2">
        <v>3.997217E-3</v>
      </c>
      <c r="AE2" t="s">
        <v>57</v>
      </c>
      <c r="AF2" t="s">
        <v>57</v>
      </c>
      <c r="AG2" t="s">
        <v>57</v>
      </c>
      <c r="AH2">
        <v>1.7682198E-2</v>
      </c>
      <c r="AI2">
        <v>7.2454499999999996E-3</v>
      </c>
      <c r="AJ2">
        <v>3.5812051309999999</v>
      </c>
      <c r="AK2">
        <v>7.7097010000000002E-3</v>
      </c>
      <c r="AL2">
        <v>3.9039422999999997E-2</v>
      </c>
      <c r="AM2" t="s">
        <v>57</v>
      </c>
      <c r="AN2" t="s">
        <v>57</v>
      </c>
      <c r="AO2" t="s">
        <v>57</v>
      </c>
    </row>
    <row r="3" spans="1:41" x14ac:dyDescent="0.2">
      <c r="A3" t="s">
        <v>16</v>
      </c>
      <c r="B3">
        <v>0.64778508800000001</v>
      </c>
      <c r="C3">
        <v>9.4475089999999998E-3</v>
      </c>
      <c r="D3" t="s">
        <v>57</v>
      </c>
      <c r="E3">
        <v>6.59821E-4</v>
      </c>
      <c r="F3">
        <v>0.26052979300000001</v>
      </c>
      <c r="G3">
        <v>4.8611899999999996E-3</v>
      </c>
      <c r="H3">
        <v>9.023695E-3</v>
      </c>
      <c r="I3" t="s">
        <v>57</v>
      </c>
      <c r="J3">
        <v>8.2360860000000001E-3</v>
      </c>
      <c r="K3">
        <v>4.1355690000000004E-3</v>
      </c>
      <c r="L3">
        <v>1.2188572E-2</v>
      </c>
      <c r="M3">
        <v>3.5556810000000002E-3</v>
      </c>
      <c r="N3">
        <v>2.6951969999999999E-3</v>
      </c>
      <c r="O3">
        <v>6.4714000000000004E-4</v>
      </c>
      <c r="P3">
        <v>1.3470200999999999E-2</v>
      </c>
      <c r="Q3">
        <v>1.8033002999999999E-2</v>
      </c>
      <c r="R3" t="s">
        <v>57</v>
      </c>
      <c r="S3">
        <v>0.158527326</v>
      </c>
      <c r="T3">
        <v>4.0635070000000001E-3</v>
      </c>
      <c r="U3">
        <v>1.8164936999999999E-2</v>
      </c>
      <c r="V3">
        <v>2.3258101770000001</v>
      </c>
      <c r="W3" t="s">
        <v>57</v>
      </c>
      <c r="X3">
        <v>4.7795440000000002E-3</v>
      </c>
      <c r="Y3">
        <v>1.0603842E-2</v>
      </c>
      <c r="Z3">
        <v>6.3936799999999997E-4</v>
      </c>
      <c r="AA3" t="s">
        <v>57</v>
      </c>
      <c r="AB3">
        <v>2.550596E-3</v>
      </c>
      <c r="AC3">
        <v>5.3356100000000002E-3</v>
      </c>
      <c r="AD3">
        <v>8.6466979999999995E-3</v>
      </c>
      <c r="AE3">
        <v>1.5019572E-2</v>
      </c>
      <c r="AF3">
        <v>6.613102E-3</v>
      </c>
      <c r="AG3" t="s">
        <v>57</v>
      </c>
      <c r="AH3">
        <v>8.2476463999999999E-2</v>
      </c>
      <c r="AI3">
        <v>4.6280449999999999E-3</v>
      </c>
      <c r="AJ3">
        <v>6.6831487999999994E-2</v>
      </c>
      <c r="AK3">
        <v>3.6534639999999999E-3</v>
      </c>
      <c r="AL3">
        <v>4.7578400000000002E-3</v>
      </c>
      <c r="AM3" t="s">
        <v>57</v>
      </c>
      <c r="AN3" t="s">
        <v>57</v>
      </c>
      <c r="AO3" t="s">
        <v>57</v>
      </c>
    </row>
    <row r="4" spans="1:41" x14ac:dyDescent="0.2">
      <c r="A4" t="s">
        <v>17</v>
      </c>
      <c r="B4">
        <v>4.1830991999999997E-2</v>
      </c>
      <c r="C4">
        <v>1.7336494000000001E-2</v>
      </c>
      <c r="D4" t="s">
        <v>57</v>
      </c>
      <c r="E4" t="s">
        <v>57</v>
      </c>
      <c r="F4">
        <v>0.26201196999999998</v>
      </c>
      <c r="G4" t="s">
        <v>57</v>
      </c>
      <c r="H4" t="s">
        <v>57</v>
      </c>
      <c r="I4" t="s">
        <v>57</v>
      </c>
      <c r="J4">
        <v>9.5336599999999994E-3</v>
      </c>
      <c r="K4">
        <v>3.2617340000000001E-3</v>
      </c>
      <c r="L4">
        <v>2.1504039999999999E-3</v>
      </c>
      <c r="M4">
        <v>2.157225E-3</v>
      </c>
      <c r="N4">
        <v>3.670324E-3</v>
      </c>
      <c r="O4" t="s">
        <v>57</v>
      </c>
      <c r="P4">
        <v>4.5034250000000001E-3</v>
      </c>
      <c r="Q4" t="s">
        <v>57</v>
      </c>
      <c r="R4" t="s">
        <v>57</v>
      </c>
      <c r="S4">
        <v>1.1997590000000001E-2</v>
      </c>
      <c r="T4" t="s">
        <v>57</v>
      </c>
      <c r="U4" t="s">
        <v>57</v>
      </c>
      <c r="V4">
        <v>8.0861035999999997E-2</v>
      </c>
      <c r="W4" t="s">
        <v>57</v>
      </c>
      <c r="X4" t="s">
        <v>57</v>
      </c>
      <c r="Y4" t="s">
        <v>57</v>
      </c>
      <c r="Z4">
        <v>6.3259999999999998E-4</v>
      </c>
      <c r="AA4" t="s">
        <v>57</v>
      </c>
      <c r="AB4">
        <v>4.3463219999999997E-3</v>
      </c>
      <c r="AC4" t="s">
        <v>57</v>
      </c>
      <c r="AD4">
        <v>5.1524789999999997E-3</v>
      </c>
      <c r="AE4" t="s">
        <v>57</v>
      </c>
      <c r="AF4" t="s">
        <v>57</v>
      </c>
      <c r="AG4" t="s">
        <v>57</v>
      </c>
      <c r="AH4">
        <v>5.4228351000000001E-2</v>
      </c>
      <c r="AI4">
        <v>5.5833239999999998E-3</v>
      </c>
      <c r="AJ4">
        <v>0.24160279900000001</v>
      </c>
      <c r="AK4">
        <v>7.1859569999999998E-3</v>
      </c>
      <c r="AL4">
        <v>6.4623679999999996E-3</v>
      </c>
      <c r="AM4" t="s">
        <v>57</v>
      </c>
      <c r="AN4" t="s">
        <v>57</v>
      </c>
      <c r="AO4" t="s">
        <v>57</v>
      </c>
    </row>
    <row r="5" spans="1:41" x14ac:dyDescent="0.2">
      <c r="A5" t="s">
        <v>18</v>
      </c>
      <c r="B5">
        <v>8.6864100000000003E-3</v>
      </c>
      <c r="C5">
        <v>9.6774860000000008E-3</v>
      </c>
      <c r="D5" t="s">
        <v>57</v>
      </c>
      <c r="E5">
        <v>2.8273407E-2</v>
      </c>
      <c r="F5">
        <v>0.85293742500000003</v>
      </c>
      <c r="G5" t="s">
        <v>57</v>
      </c>
      <c r="H5" t="s">
        <v>57</v>
      </c>
      <c r="I5">
        <v>1.8991559999999999E-3</v>
      </c>
      <c r="J5">
        <v>6.8465313E-2</v>
      </c>
      <c r="K5">
        <v>5.9699899999999997E-3</v>
      </c>
      <c r="L5">
        <v>3.704733E-3</v>
      </c>
      <c r="M5">
        <v>4.18043E-4</v>
      </c>
      <c r="N5" t="s">
        <v>57</v>
      </c>
      <c r="O5">
        <v>2.0699999999999998E-3</v>
      </c>
      <c r="P5">
        <v>1.5411940000000001E-3</v>
      </c>
      <c r="Q5" t="s">
        <v>57</v>
      </c>
      <c r="R5" t="s">
        <v>57</v>
      </c>
      <c r="S5" t="s">
        <v>57</v>
      </c>
      <c r="T5" t="s">
        <v>57</v>
      </c>
      <c r="U5" t="s">
        <v>57</v>
      </c>
      <c r="V5">
        <v>6.8435270000000003E-3</v>
      </c>
      <c r="W5" t="s">
        <v>57</v>
      </c>
      <c r="X5" t="s">
        <v>57</v>
      </c>
      <c r="Y5" t="s">
        <v>57</v>
      </c>
      <c r="Z5" t="s">
        <v>57</v>
      </c>
      <c r="AA5" t="s">
        <v>57</v>
      </c>
      <c r="AB5" t="s">
        <v>57</v>
      </c>
      <c r="AC5" t="s">
        <v>57</v>
      </c>
      <c r="AD5">
        <v>2.2912409999999999E-3</v>
      </c>
      <c r="AE5">
        <v>2.9537510000000001E-3</v>
      </c>
      <c r="AF5" t="s">
        <v>57</v>
      </c>
      <c r="AG5">
        <v>2.0793029999999998E-3</v>
      </c>
      <c r="AH5">
        <v>3.8381253999999997E-2</v>
      </c>
      <c r="AI5">
        <v>2.7194820000000001E-3</v>
      </c>
      <c r="AJ5">
        <v>0.46811656400000001</v>
      </c>
      <c r="AK5">
        <v>1.7256957999999999E-2</v>
      </c>
      <c r="AL5">
        <v>4.3934747000000003E-2</v>
      </c>
      <c r="AM5" t="s">
        <v>57</v>
      </c>
      <c r="AN5" t="s">
        <v>57</v>
      </c>
      <c r="AO5" t="s">
        <v>57</v>
      </c>
    </row>
    <row r="6" spans="1:41" x14ac:dyDescent="0.2">
      <c r="A6" t="s">
        <v>19</v>
      </c>
      <c r="B6">
        <v>0.25943418800000001</v>
      </c>
      <c r="C6">
        <v>3.3118553000000002E-2</v>
      </c>
      <c r="D6" t="s">
        <v>57</v>
      </c>
      <c r="E6">
        <v>1.1999701E-2</v>
      </c>
      <c r="F6">
        <v>1.0793012049999999</v>
      </c>
      <c r="G6" t="s">
        <v>57</v>
      </c>
      <c r="H6" t="s">
        <v>57</v>
      </c>
      <c r="I6" t="s">
        <v>57</v>
      </c>
      <c r="J6">
        <v>9.3148196000000003E-2</v>
      </c>
      <c r="K6" t="s">
        <v>57</v>
      </c>
      <c r="L6">
        <v>3.0195021999999998E-2</v>
      </c>
      <c r="M6">
        <v>9.8601799999999996E-4</v>
      </c>
      <c r="N6" t="s">
        <v>57</v>
      </c>
      <c r="O6">
        <v>1.8341939999999999E-3</v>
      </c>
      <c r="P6">
        <v>4.6000549999999996E-3</v>
      </c>
      <c r="Q6" t="s">
        <v>57</v>
      </c>
      <c r="R6" t="s">
        <v>57</v>
      </c>
      <c r="S6">
        <v>1.0612962E-2</v>
      </c>
      <c r="T6" t="s">
        <v>57</v>
      </c>
      <c r="U6">
        <v>9.5012670000000007E-3</v>
      </c>
      <c r="V6">
        <v>0.254780495</v>
      </c>
      <c r="W6" t="s">
        <v>57</v>
      </c>
      <c r="X6" t="s">
        <v>57</v>
      </c>
      <c r="Y6">
        <v>4.8599150000000002E-3</v>
      </c>
      <c r="Z6" t="s">
        <v>57</v>
      </c>
      <c r="AA6" t="s">
        <v>57</v>
      </c>
      <c r="AB6" t="s">
        <v>57</v>
      </c>
      <c r="AC6" t="s">
        <v>57</v>
      </c>
      <c r="AD6">
        <v>6.526914E-3</v>
      </c>
      <c r="AE6">
        <v>6.1650150000000003E-3</v>
      </c>
      <c r="AF6">
        <v>3.0491950000000002E-3</v>
      </c>
      <c r="AG6" t="s">
        <v>57</v>
      </c>
      <c r="AH6">
        <v>0.27510843800000001</v>
      </c>
      <c r="AI6">
        <v>3.3984699999999998E-3</v>
      </c>
      <c r="AJ6">
        <v>0.62387368799999998</v>
      </c>
      <c r="AK6">
        <v>1.7943537999999998E-2</v>
      </c>
      <c r="AL6">
        <v>1.5730184000000001E-2</v>
      </c>
      <c r="AM6" t="s">
        <v>57</v>
      </c>
      <c r="AN6">
        <v>4.7581919999999996E-3</v>
      </c>
      <c r="AO6" t="s">
        <v>57</v>
      </c>
    </row>
    <row r="7" spans="1:41" x14ac:dyDescent="0.2">
      <c r="A7" t="s">
        <v>20</v>
      </c>
      <c r="B7">
        <v>8.2990849999999994E-3</v>
      </c>
      <c r="C7" t="s">
        <v>57</v>
      </c>
      <c r="D7">
        <v>3.8363500000000001E-4</v>
      </c>
      <c r="E7">
        <v>1.2551678049999999</v>
      </c>
      <c r="F7">
        <v>2.3238131659999999</v>
      </c>
      <c r="G7" t="s">
        <v>57</v>
      </c>
      <c r="H7">
        <v>2.0032599999999999E-4</v>
      </c>
      <c r="I7" t="s">
        <v>57</v>
      </c>
      <c r="J7">
        <v>4.7397963000000001E-2</v>
      </c>
      <c r="K7">
        <v>9.6976600000000005E-4</v>
      </c>
      <c r="L7">
        <v>0.13548980599999999</v>
      </c>
      <c r="M7">
        <v>4.5691849999999999E-3</v>
      </c>
      <c r="N7" t="s">
        <v>57</v>
      </c>
      <c r="O7" t="s">
        <v>57</v>
      </c>
      <c r="P7">
        <v>9.8085599999999992E-3</v>
      </c>
      <c r="Q7" t="s">
        <v>57</v>
      </c>
      <c r="R7">
        <v>5.7859652999999997E-2</v>
      </c>
      <c r="S7" t="s">
        <v>57</v>
      </c>
      <c r="T7">
        <v>8.5996300000000005E-4</v>
      </c>
      <c r="U7" t="s">
        <v>57</v>
      </c>
      <c r="V7">
        <v>1.1251766E-2</v>
      </c>
      <c r="W7" t="s">
        <v>57</v>
      </c>
      <c r="X7" t="s">
        <v>57</v>
      </c>
      <c r="Y7" t="s">
        <v>57</v>
      </c>
      <c r="Z7">
        <v>7.8678940000000003E-3</v>
      </c>
      <c r="AA7" t="s">
        <v>57</v>
      </c>
      <c r="AB7">
        <v>4.7396999999999999E-4</v>
      </c>
      <c r="AC7" t="s">
        <v>57</v>
      </c>
      <c r="AD7">
        <v>2.4153099999999999E-4</v>
      </c>
      <c r="AE7">
        <v>5.7220899999999996E-4</v>
      </c>
      <c r="AF7">
        <v>1.5608760000000001E-3</v>
      </c>
      <c r="AG7">
        <v>5.5135799999999995E-4</v>
      </c>
      <c r="AH7">
        <v>2.1433319999999999E-2</v>
      </c>
      <c r="AI7">
        <v>1.5432794E-2</v>
      </c>
      <c r="AJ7">
        <v>2.056608121</v>
      </c>
      <c r="AK7">
        <v>0.172801075</v>
      </c>
      <c r="AL7">
        <v>8.5910380000000005E-3</v>
      </c>
      <c r="AM7" t="s">
        <v>57</v>
      </c>
      <c r="AN7" t="s">
        <v>57</v>
      </c>
      <c r="AO7" s="8">
        <v>5.0300000000000003E-5</v>
      </c>
    </row>
    <row r="8" spans="1:41" x14ac:dyDescent="0.2">
      <c r="A8" t="s">
        <v>21</v>
      </c>
      <c r="B8">
        <v>5.7895237000000002E-2</v>
      </c>
      <c r="C8">
        <v>8.2368200000000006E-3</v>
      </c>
      <c r="D8" t="s">
        <v>57</v>
      </c>
      <c r="E8">
        <v>0.1748759</v>
      </c>
      <c r="F8">
        <v>1.5536257229999999</v>
      </c>
      <c r="G8" t="s">
        <v>57</v>
      </c>
      <c r="H8" t="s">
        <v>57</v>
      </c>
      <c r="I8" t="s">
        <v>57</v>
      </c>
      <c r="J8">
        <v>6.0537078000000001E-2</v>
      </c>
      <c r="K8">
        <v>1.8987229999999999E-3</v>
      </c>
      <c r="L8">
        <v>0.71493330499999996</v>
      </c>
      <c r="M8">
        <v>3.544424E-3</v>
      </c>
      <c r="N8" t="s">
        <v>57</v>
      </c>
      <c r="O8">
        <v>1.6610590000000001E-3</v>
      </c>
      <c r="P8">
        <v>6.47089E-3</v>
      </c>
      <c r="Q8" t="s">
        <v>57</v>
      </c>
      <c r="R8" t="s">
        <v>57</v>
      </c>
      <c r="S8">
        <v>1.7424362999999998E-2</v>
      </c>
      <c r="T8" t="s">
        <v>57</v>
      </c>
      <c r="U8" t="s">
        <v>57</v>
      </c>
      <c r="V8">
        <v>0.208414662</v>
      </c>
      <c r="W8" t="s">
        <v>57</v>
      </c>
      <c r="X8" t="s">
        <v>57</v>
      </c>
      <c r="Y8" t="s">
        <v>57</v>
      </c>
      <c r="Z8" t="s">
        <v>57</v>
      </c>
      <c r="AA8" t="s">
        <v>57</v>
      </c>
      <c r="AB8" t="s">
        <v>57</v>
      </c>
      <c r="AC8" t="s">
        <v>57</v>
      </c>
      <c r="AD8" t="s">
        <v>57</v>
      </c>
      <c r="AE8" t="s">
        <v>57</v>
      </c>
      <c r="AF8">
        <v>2.2754559999999999E-3</v>
      </c>
      <c r="AG8" t="s">
        <v>57</v>
      </c>
      <c r="AH8">
        <v>3.4849737999999998E-2</v>
      </c>
      <c r="AI8">
        <v>2.4493926999999999E-2</v>
      </c>
      <c r="AJ8">
        <v>6.7621284140000002</v>
      </c>
      <c r="AK8">
        <v>1.833423E-2</v>
      </c>
      <c r="AL8">
        <v>9.1456968999999999E-2</v>
      </c>
      <c r="AM8" t="s">
        <v>57</v>
      </c>
      <c r="AN8" t="s">
        <v>57</v>
      </c>
      <c r="AO8" t="s">
        <v>57</v>
      </c>
    </row>
    <row r="9" spans="1:41" x14ac:dyDescent="0.2">
      <c r="A9" t="s">
        <v>23</v>
      </c>
      <c r="B9">
        <v>3.8192640000000002E-3</v>
      </c>
      <c r="C9" t="s">
        <v>57</v>
      </c>
      <c r="D9" t="s">
        <v>57</v>
      </c>
      <c r="E9">
        <v>6.8172659999999998E-3</v>
      </c>
      <c r="F9">
        <v>7.4882460999999997E-2</v>
      </c>
      <c r="G9" t="s">
        <v>57</v>
      </c>
      <c r="H9" t="s">
        <v>57</v>
      </c>
      <c r="I9" t="s">
        <v>57</v>
      </c>
      <c r="J9">
        <v>1.027299E-3</v>
      </c>
      <c r="K9">
        <v>1.710683E-3</v>
      </c>
      <c r="L9">
        <v>6.3271141000000003E-2</v>
      </c>
      <c r="M9" t="s">
        <v>57</v>
      </c>
      <c r="N9" t="s">
        <v>57</v>
      </c>
      <c r="O9" t="s">
        <v>57</v>
      </c>
      <c r="P9">
        <v>7.8343189999999993E-3</v>
      </c>
      <c r="Q9" t="s">
        <v>57</v>
      </c>
      <c r="R9" t="s">
        <v>57</v>
      </c>
      <c r="S9" t="s">
        <v>57</v>
      </c>
      <c r="T9" t="s">
        <v>57</v>
      </c>
      <c r="U9" t="s">
        <v>57</v>
      </c>
      <c r="V9">
        <v>2.8214324999999998E-2</v>
      </c>
      <c r="W9" t="s">
        <v>57</v>
      </c>
      <c r="X9" t="s">
        <v>57</v>
      </c>
      <c r="Y9" t="s">
        <v>57</v>
      </c>
      <c r="Z9" t="s">
        <v>57</v>
      </c>
      <c r="AA9" t="s">
        <v>57</v>
      </c>
      <c r="AB9" t="s">
        <v>57</v>
      </c>
      <c r="AC9" t="s">
        <v>57</v>
      </c>
      <c r="AD9" t="s">
        <v>57</v>
      </c>
      <c r="AE9" t="s">
        <v>57</v>
      </c>
      <c r="AF9">
        <v>2.7952440000000001E-3</v>
      </c>
      <c r="AG9" t="s">
        <v>57</v>
      </c>
      <c r="AH9">
        <v>9.0914399999999992E-3</v>
      </c>
      <c r="AI9">
        <v>1.582586E-3</v>
      </c>
      <c r="AJ9">
        <v>0.40080714299999998</v>
      </c>
      <c r="AK9">
        <v>2.4627910000000002E-3</v>
      </c>
      <c r="AL9">
        <v>1.0244239999999999E-3</v>
      </c>
      <c r="AM9" t="s">
        <v>57</v>
      </c>
      <c r="AN9">
        <v>2.7064120000000001E-3</v>
      </c>
      <c r="AO9" t="s">
        <v>57</v>
      </c>
    </row>
    <row r="10" spans="1:41" x14ac:dyDescent="0.2">
      <c r="A10" t="s">
        <v>24</v>
      </c>
      <c r="B10">
        <v>7.3441011E-2</v>
      </c>
      <c r="C10">
        <v>9.5406310000000008E-3</v>
      </c>
      <c r="D10">
        <v>2.969274E-3</v>
      </c>
      <c r="E10" t="s">
        <v>57</v>
      </c>
      <c r="F10">
        <v>5.2783687000000003E-2</v>
      </c>
      <c r="G10" t="s">
        <v>57</v>
      </c>
      <c r="H10" t="s">
        <v>57</v>
      </c>
      <c r="I10" t="s">
        <v>57</v>
      </c>
      <c r="J10">
        <v>5.6620059999999998E-3</v>
      </c>
      <c r="K10">
        <v>2.6329159999999999E-3</v>
      </c>
      <c r="L10" t="s">
        <v>57</v>
      </c>
      <c r="M10">
        <v>1.377966E-3</v>
      </c>
      <c r="N10">
        <v>4.4560160000000001E-3</v>
      </c>
      <c r="O10" t="s">
        <v>57</v>
      </c>
      <c r="P10">
        <v>2.7208269999999999E-3</v>
      </c>
      <c r="Q10" t="s">
        <v>57</v>
      </c>
      <c r="R10" t="s">
        <v>57</v>
      </c>
      <c r="S10">
        <v>8.1756351000000005E-2</v>
      </c>
      <c r="T10" t="s">
        <v>57</v>
      </c>
      <c r="U10" t="s">
        <v>57</v>
      </c>
      <c r="V10">
        <v>0.423663713</v>
      </c>
      <c r="W10" t="s">
        <v>57</v>
      </c>
      <c r="X10" t="s">
        <v>57</v>
      </c>
      <c r="Y10" t="s">
        <v>57</v>
      </c>
      <c r="Z10" t="s">
        <v>57</v>
      </c>
      <c r="AA10" t="s">
        <v>57</v>
      </c>
      <c r="AB10">
        <v>1.979766E-3</v>
      </c>
      <c r="AC10" t="s">
        <v>57</v>
      </c>
      <c r="AD10" t="s">
        <v>57</v>
      </c>
      <c r="AE10">
        <v>3.6316930000000001E-3</v>
      </c>
      <c r="AF10">
        <v>2.1558889999999998E-3</v>
      </c>
      <c r="AG10" t="s">
        <v>57</v>
      </c>
      <c r="AH10">
        <v>1.2274234E-2</v>
      </c>
      <c r="AI10">
        <v>1.6648139999999999E-3</v>
      </c>
      <c r="AJ10">
        <v>7.8302530000000006E-3</v>
      </c>
      <c r="AK10">
        <v>3.9399159999999999E-3</v>
      </c>
      <c r="AL10">
        <v>2.6731110000000002E-3</v>
      </c>
      <c r="AM10" t="s">
        <v>57</v>
      </c>
      <c r="AN10" t="s">
        <v>57</v>
      </c>
      <c r="AO10" t="s">
        <v>57</v>
      </c>
    </row>
    <row r="11" spans="1:41" x14ac:dyDescent="0.2">
      <c r="A11" t="s">
        <v>25</v>
      </c>
      <c r="B11">
        <v>2.0736221999999999E-2</v>
      </c>
      <c r="C11">
        <v>2.4354630000000001E-3</v>
      </c>
      <c r="D11">
        <v>3.737214E-3</v>
      </c>
      <c r="E11">
        <v>5.6913727999999997E-2</v>
      </c>
      <c r="F11">
        <v>2.007916314</v>
      </c>
      <c r="G11" t="s">
        <v>57</v>
      </c>
      <c r="H11" t="s">
        <v>57</v>
      </c>
      <c r="I11">
        <v>3.9386890000000004E-3</v>
      </c>
      <c r="J11">
        <v>6.1511903999999999E-2</v>
      </c>
      <c r="K11">
        <v>1.3365032000000001E-2</v>
      </c>
      <c r="L11">
        <v>5.1706948000000003E-2</v>
      </c>
      <c r="M11">
        <v>1.6770839999999999E-3</v>
      </c>
      <c r="N11">
        <v>3.4463749999999998E-3</v>
      </c>
      <c r="O11">
        <v>1.4519960000000001E-3</v>
      </c>
      <c r="P11">
        <v>5.8792209999999996E-3</v>
      </c>
      <c r="Q11" t="s">
        <v>57</v>
      </c>
      <c r="R11" t="s">
        <v>57</v>
      </c>
      <c r="S11">
        <v>7.2387770000000001E-3</v>
      </c>
      <c r="T11">
        <v>9.0885510000000003E-3</v>
      </c>
      <c r="U11" t="s">
        <v>57</v>
      </c>
      <c r="V11" t="s">
        <v>57</v>
      </c>
      <c r="W11" t="s">
        <v>57</v>
      </c>
      <c r="X11" t="s">
        <v>57</v>
      </c>
      <c r="Y11" t="s">
        <v>57</v>
      </c>
      <c r="Z11" t="s">
        <v>57</v>
      </c>
      <c r="AA11" t="s">
        <v>57</v>
      </c>
      <c r="AB11" t="s">
        <v>57</v>
      </c>
      <c r="AC11">
        <v>4.4867149999999996E-3</v>
      </c>
      <c r="AD11">
        <v>4.4576750000000004E-3</v>
      </c>
      <c r="AE11" t="s">
        <v>57</v>
      </c>
      <c r="AF11">
        <v>3.0926489999999998E-3</v>
      </c>
      <c r="AG11" t="s">
        <v>57</v>
      </c>
      <c r="AH11">
        <v>0.377033954</v>
      </c>
      <c r="AI11">
        <v>1.3763198000000001E-2</v>
      </c>
      <c r="AJ11">
        <v>0.411079786</v>
      </c>
      <c r="AK11">
        <v>2.2906342999999999E-2</v>
      </c>
      <c r="AL11">
        <v>5.0958177E-2</v>
      </c>
      <c r="AM11" t="s">
        <v>57</v>
      </c>
      <c r="AN11">
        <v>8.6261949999999997E-3</v>
      </c>
      <c r="AO11" t="s">
        <v>57</v>
      </c>
    </row>
    <row r="12" spans="1:41" x14ac:dyDescent="0.2">
      <c r="A12" t="s">
        <v>26</v>
      </c>
      <c r="B12">
        <v>7.0000000000000007E-2</v>
      </c>
      <c r="C12">
        <v>8.0000000000000002E-3</v>
      </c>
      <c r="D12" t="s">
        <v>57</v>
      </c>
      <c r="E12">
        <v>0.16400000000000001</v>
      </c>
      <c r="F12">
        <v>1.37</v>
      </c>
      <c r="G12" t="s">
        <v>57</v>
      </c>
      <c r="H12" t="s">
        <v>57</v>
      </c>
      <c r="I12" t="s">
        <v>57</v>
      </c>
      <c r="J12">
        <v>8.8999999999999996E-2</v>
      </c>
      <c r="K12">
        <v>5.0000000000000001E-3</v>
      </c>
      <c r="L12">
        <v>0.76200000000000001</v>
      </c>
      <c r="M12">
        <v>8.0000000000000002E-3</v>
      </c>
      <c r="N12">
        <v>2E-3</v>
      </c>
      <c r="O12" t="s">
        <v>57</v>
      </c>
      <c r="P12">
        <v>1.0999999999999999E-2</v>
      </c>
      <c r="Q12">
        <v>0.02</v>
      </c>
      <c r="R12" t="s">
        <v>57</v>
      </c>
      <c r="S12">
        <v>0.01</v>
      </c>
      <c r="T12">
        <v>0.01</v>
      </c>
      <c r="U12">
        <v>5.0000000000000001E-3</v>
      </c>
      <c r="V12">
        <v>8.5000000000000006E-2</v>
      </c>
      <c r="W12" t="s">
        <v>57</v>
      </c>
      <c r="X12" t="s">
        <v>57</v>
      </c>
      <c r="Y12" t="s">
        <v>57</v>
      </c>
      <c r="Z12" t="s">
        <v>57</v>
      </c>
      <c r="AA12" t="s">
        <v>57</v>
      </c>
      <c r="AB12">
        <v>6.0000000000000001E-3</v>
      </c>
      <c r="AC12" t="s">
        <v>57</v>
      </c>
      <c r="AD12">
        <v>0.02</v>
      </c>
      <c r="AE12" t="s">
        <v>57</v>
      </c>
      <c r="AF12">
        <v>1.2999999999999999E-2</v>
      </c>
      <c r="AG12" t="s">
        <v>57</v>
      </c>
      <c r="AH12">
        <v>6.7000000000000004E-2</v>
      </c>
      <c r="AI12">
        <v>4.7E-2</v>
      </c>
      <c r="AJ12">
        <v>6.85</v>
      </c>
      <c r="AK12">
        <v>3.5999999999999997E-2</v>
      </c>
      <c r="AL12">
        <v>0.17499999999999999</v>
      </c>
      <c r="AM12" t="s">
        <v>57</v>
      </c>
      <c r="AN12" t="s">
        <v>57</v>
      </c>
      <c r="AO12" t="s">
        <v>57</v>
      </c>
    </row>
    <row r="13" spans="1:41" x14ac:dyDescent="0.2">
      <c r="A13" t="s">
        <v>27</v>
      </c>
      <c r="B13">
        <v>8.9211169999999992E-3</v>
      </c>
      <c r="C13">
        <v>6.1936100000000002E-4</v>
      </c>
      <c r="D13">
        <v>2.5525859999999999E-3</v>
      </c>
      <c r="E13">
        <v>4.0281959999999999E-2</v>
      </c>
      <c r="F13">
        <v>0.64425198400000006</v>
      </c>
      <c r="G13" t="s">
        <v>57</v>
      </c>
      <c r="H13" t="s">
        <v>57</v>
      </c>
      <c r="I13" t="s">
        <v>57</v>
      </c>
      <c r="J13">
        <v>2.3979838999999999E-2</v>
      </c>
      <c r="K13" t="s">
        <v>57</v>
      </c>
      <c r="L13">
        <v>0.13638574000000001</v>
      </c>
      <c r="M13">
        <v>4.0007999999999998E-4</v>
      </c>
      <c r="N13">
        <v>3.0186190000000002E-3</v>
      </c>
      <c r="O13" t="s">
        <v>57</v>
      </c>
      <c r="P13">
        <v>2.9984090000000001E-3</v>
      </c>
      <c r="Q13" t="s">
        <v>57</v>
      </c>
      <c r="R13" t="s">
        <v>57</v>
      </c>
      <c r="S13" t="s">
        <v>57</v>
      </c>
      <c r="T13" t="s">
        <v>57</v>
      </c>
      <c r="U13" t="s">
        <v>57</v>
      </c>
      <c r="V13">
        <v>2.0178552999999998E-2</v>
      </c>
      <c r="W13" t="s">
        <v>57</v>
      </c>
      <c r="X13" t="s">
        <v>57</v>
      </c>
      <c r="Y13" t="s">
        <v>57</v>
      </c>
      <c r="Z13" t="s">
        <v>57</v>
      </c>
      <c r="AA13" t="s">
        <v>57</v>
      </c>
      <c r="AB13" t="s">
        <v>57</v>
      </c>
      <c r="AC13" t="s">
        <v>57</v>
      </c>
      <c r="AD13" t="s">
        <v>57</v>
      </c>
      <c r="AE13" t="s">
        <v>57</v>
      </c>
      <c r="AF13" t="s">
        <v>57</v>
      </c>
      <c r="AG13" t="s">
        <v>57</v>
      </c>
      <c r="AH13">
        <v>7.9444518000000006E-2</v>
      </c>
      <c r="AI13">
        <v>3.829771E-3</v>
      </c>
      <c r="AJ13">
        <v>2.4291414530000002</v>
      </c>
      <c r="AK13">
        <v>3.9965953999999998E-2</v>
      </c>
      <c r="AL13">
        <v>5.4844996999999999E-2</v>
      </c>
      <c r="AM13">
        <v>1.865371E-3</v>
      </c>
      <c r="AN13">
        <v>2.2664209999999998E-3</v>
      </c>
      <c r="AO13" t="s">
        <v>57</v>
      </c>
    </row>
    <row r="14" spans="1:41" x14ac:dyDescent="0.2">
      <c r="A14" t="s">
        <v>28</v>
      </c>
      <c r="B14">
        <v>0.82723914700000001</v>
      </c>
      <c r="C14">
        <v>2.6094902999999999E-2</v>
      </c>
      <c r="D14" t="s">
        <v>57</v>
      </c>
      <c r="E14" t="s">
        <v>57</v>
      </c>
      <c r="F14">
        <v>2.3447203999999999E-2</v>
      </c>
      <c r="G14" t="s">
        <v>57</v>
      </c>
      <c r="H14" t="s">
        <v>57</v>
      </c>
      <c r="I14" t="s">
        <v>57</v>
      </c>
      <c r="J14">
        <v>1.2981384E-2</v>
      </c>
      <c r="K14" t="s">
        <v>57</v>
      </c>
      <c r="L14">
        <v>8.5130169999999995E-3</v>
      </c>
      <c r="M14">
        <v>7.9076099999999996E-4</v>
      </c>
      <c r="N14" t="s">
        <v>57</v>
      </c>
      <c r="O14" t="s">
        <v>57</v>
      </c>
      <c r="P14" t="s">
        <v>57</v>
      </c>
      <c r="Q14">
        <v>7.1193530000000001E-3</v>
      </c>
      <c r="R14" t="s">
        <v>57</v>
      </c>
      <c r="S14">
        <v>0.217300405</v>
      </c>
      <c r="T14">
        <v>1.0373935000000001E-2</v>
      </c>
      <c r="U14">
        <v>3.1412113999999998E-2</v>
      </c>
      <c r="V14">
        <v>13.89824825</v>
      </c>
      <c r="W14" t="s">
        <v>57</v>
      </c>
      <c r="X14" t="s">
        <v>57</v>
      </c>
      <c r="Y14">
        <v>2.3601787999999999E-2</v>
      </c>
      <c r="Z14" t="s">
        <v>57</v>
      </c>
      <c r="AA14" t="s">
        <v>57</v>
      </c>
      <c r="AB14">
        <v>5.225787E-3</v>
      </c>
      <c r="AC14">
        <v>6.45015E-3</v>
      </c>
      <c r="AD14">
        <v>2.9879892000000002E-2</v>
      </c>
      <c r="AE14">
        <v>2.4140258000000001E-2</v>
      </c>
      <c r="AF14">
        <v>3.0712766999999998E-2</v>
      </c>
      <c r="AG14">
        <v>4.3464929999999999E-3</v>
      </c>
      <c r="AH14">
        <v>1.3240729E-2</v>
      </c>
      <c r="AI14">
        <v>3.2966800000000002E-3</v>
      </c>
      <c r="AJ14">
        <v>3.9039855999999998E-2</v>
      </c>
      <c r="AK14">
        <v>2.0146719999999999E-3</v>
      </c>
      <c r="AL14">
        <v>3.1497809999999999E-3</v>
      </c>
      <c r="AM14">
        <v>8.1818029999999996E-3</v>
      </c>
      <c r="AN14" t="s">
        <v>57</v>
      </c>
      <c r="AO14" t="s">
        <v>57</v>
      </c>
    </row>
    <row r="15" spans="1:41" x14ac:dyDescent="0.2">
      <c r="A15" t="s">
        <v>29</v>
      </c>
      <c r="B15">
        <v>5.9695165000000001E-2</v>
      </c>
      <c r="C15" t="s">
        <v>57</v>
      </c>
      <c r="D15" t="s">
        <v>57</v>
      </c>
      <c r="E15">
        <v>2.1030129999999999E-3</v>
      </c>
      <c r="F15">
        <v>0.23849194000000001</v>
      </c>
      <c r="G15" t="s">
        <v>57</v>
      </c>
      <c r="H15" t="s">
        <v>57</v>
      </c>
      <c r="I15" t="s">
        <v>57</v>
      </c>
      <c r="J15">
        <v>7.8880670000000003E-3</v>
      </c>
      <c r="K15">
        <v>1.7352890000000001E-3</v>
      </c>
      <c r="L15">
        <v>8.2085600000000002E-4</v>
      </c>
      <c r="M15" t="s">
        <v>57</v>
      </c>
      <c r="N15">
        <v>3.0400610000000002E-3</v>
      </c>
      <c r="O15" t="s">
        <v>57</v>
      </c>
      <c r="P15">
        <v>9.58015E-4</v>
      </c>
      <c r="Q15" t="s">
        <v>57</v>
      </c>
      <c r="R15" t="s">
        <v>57</v>
      </c>
      <c r="S15">
        <v>6.5619620000000002E-3</v>
      </c>
      <c r="T15" t="s">
        <v>57</v>
      </c>
      <c r="U15">
        <v>2.0368280000000001E-3</v>
      </c>
      <c r="V15">
        <v>2.1487025999999999E-2</v>
      </c>
      <c r="W15" t="s">
        <v>57</v>
      </c>
      <c r="X15" t="s">
        <v>57</v>
      </c>
      <c r="Y15" t="s">
        <v>57</v>
      </c>
      <c r="Z15" t="s">
        <v>57</v>
      </c>
      <c r="AA15" t="s">
        <v>57</v>
      </c>
      <c r="AB15">
        <v>3.8109929999999999E-3</v>
      </c>
      <c r="AC15" t="s">
        <v>57</v>
      </c>
      <c r="AD15">
        <v>1.5213513E-2</v>
      </c>
      <c r="AE15" t="s">
        <v>57</v>
      </c>
      <c r="AF15">
        <v>2.5913780000000001E-3</v>
      </c>
      <c r="AG15">
        <v>2.495307E-3</v>
      </c>
      <c r="AH15">
        <v>4.5548806999999997E-2</v>
      </c>
      <c r="AI15" t="s">
        <v>57</v>
      </c>
      <c r="AJ15">
        <v>4.9933455000000002E-2</v>
      </c>
      <c r="AK15">
        <v>2.2662149999999998E-3</v>
      </c>
      <c r="AL15">
        <v>4.4118669999999999E-3</v>
      </c>
      <c r="AM15">
        <v>2.78875E-3</v>
      </c>
      <c r="AN15" t="s">
        <v>57</v>
      </c>
      <c r="AO15" t="s">
        <v>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7"/>
  <sheetViews>
    <sheetView zoomScale="130" zoomScaleNormal="130" workbookViewId="0">
      <selection activeCell="B21" sqref="B21"/>
    </sheetView>
  </sheetViews>
  <sheetFormatPr baseColWidth="10" defaultRowHeight="16" x14ac:dyDescent="0.2"/>
  <cols>
    <col min="1" max="1" width="16.83203125" customWidth="1"/>
    <col min="2" max="2" width="19" customWidth="1"/>
    <col min="3" max="3" width="13.6640625" customWidth="1"/>
    <col min="4" max="4" width="14.1640625" customWidth="1"/>
    <col min="7" max="7" width="13" customWidth="1"/>
    <col min="15" max="15" width="18" customWidth="1"/>
    <col min="16" max="16" width="15.5" customWidth="1"/>
    <col min="18" max="18" width="14" customWidth="1"/>
    <col min="20" max="20" width="11.6640625" style="2" bestFit="1" customWidth="1"/>
  </cols>
  <sheetData>
    <row r="1" spans="1:3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R1" s="2"/>
      <c r="S1" s="2"/>
      <c r="U1" s="2"/>
    </row>
    <row r="2" spans="1:35" s="3" customFormat="1" x14ac:dyDescent="0.2">
      <c r="A2" s="3" t="s">
        <v>30</v>
      </c>
      <c r="B2" s="4">
        <v>0.32</v>
      </c>
      <c r="C2" s="4">
        <v>0.37</v>
      </c>
      <c r="D2" s="4">
        <v>0.3</v>
      </c>
      <c r="E2" s="4">
        <v>0.26</v>
      </c>
      <c r="F2" s="4">
        <v>0.17</v>
      </c>
      <c r="G2" s="4">
        <v>0.16</v>
      </c>
      <c r="H2" s="4">
        <v>0.21</v>
      </c>
      <c r="I2" s="4">
        <v>0.18</v>
      </c>
      <c r="J2" s="4">
        <v>0.32</v>
      </c>
      <c r="K2" s="4">
        <v>0.25</v>
      </c>
      <c r="L2" s="4">
        <v>0.42</v>
      </c>
      <c r="M2" s="4">
        <v>0.2</v>
      </c>
      <c r="N2" s="4">
        <v>0.23</v>
      </c>
      <c r="O2" s="4">
        <v>0.31</v>
      </c>
      <c r="P2" s="4"/>
      <c r="Q2" s="4"/>
      <c r="R2" s="5"/>
      <c r="S2" s="5"/>
      <c r="T2" s="5"/>
      <c r="U2" s="5"/>
    </row>
    <row r="3" spans="1:35" x14ac:dyDescent="0.2">
      <c r="A3" t="s">
        <v>15</v>
      </c>
      <c r="B3" s="6">
        <v>0.32</v>
      </c>
      <c r="C3" s="6">
        <v>0.37</v>
      </c>
      <c r="D3" s="6">
        <v>0.3</v>
      </c>
      <c r="E3" s="6">
        <f xml:space="preserve"> 0.3 + 0.26</f>
        <v>0.56000000000000005</v>
      </c>
      <c r="F3" s="6">
        <f xml:space="preserve"> 0.17 +0</f>
        <v>0.17</v>
      </c>
      <c r="G3" s="6">
        <f xml:space="preserve"> 0.16 +0</f>
        <v>0.16</v>
      </c>
      <c r="H3" s="6">
        <f xml:space="preserve"> 0.21+4.71</f>
        <v>4.92</v>
      </c>
      <c r="I3" s="6">
        <f xml:space="preserve"> 0.18+1.85</f>
        <v>2.0300000000000002</v>
      </c>
      <c r="J3" s="6">
        <f t="shared" ref="J3:J17" si="0" xml:space="preserve"> 0.32+0</f>
        <v>0.32</v>
      </c>
      <c r="K3" s="6">
        <f t="shared" ref="K3:K12" si="1">0.25+0</f>
        <v>0.25</v>
      </c>
      <c r="L3" s="6">
        <f>0.42+37.02</f>
        <v>37.440000000000005</v>
      </c>
      <c r="M3" s="6">
        <f>0.2+6.85</f>
        <v>7.05</v>
      </c>
      <c r="N3" s="6">
        <f t="shared" ref="N3:N17" si="2">0.23+0</f>
        <v>0.23</v>
      </c>
      <c r="O3" s="6">
        <f t="shared" ref="O3:O14" si="3">0.31+0</f>
        <v>0.31</v>
      </c>
      <c r="P3" s="6"/>
      <c r="Q3" s="6"/>
      <c r="R3" s="6"/>
      <c r="S3" s="6"/>
      <c r="T3" s="7"/>
      <c r="U3" s="6"/>
    </row>
    <row r="4" spans="1:35" s="1" customFormat="1" x14ac:dyDescent="0.2">
      <c r="A4" t="s">
        <v>16</v>
      </c>
      <c r="B4" s="6">
        <v>0.32</v>
      </c>
      <c r="C4" s="6">
        <f xml:space="preserve"> 0.17 + 0.37</f>
        <v>0.54</v>
      </c>
      <c r="D4" s="6">
        <f xml:space="preserve"> 0.44 + 0.3</f>
        <v>0.74</v>
      </c>
      <c r="E4" s="6">
        <f xml:space="preserve"> 12.845+ 0.26</f>
        <v>13.105</v>
      </c>
      <c r="F4" s="6">
        <f xml:space="preserve"> 0.17 +5.495</f>
        <v>5.665</v>
      </c>
      <c r="G4" s="6">
        <f xml:space="preserve"> 0.16 +0.05</f>
        <v>0.21000000000000002</v>
      </c>
      <c r="H4" s="6">
        <f xml:space="preserve"> 0.21+0.06</f>
        <v>0.27</v>
      </c>
      <c r="I4" s="6">
        <f xml:space="preserve"> 0.18+0</f>
        <v>0.18</v>
      </c>
      <c r="J4" s="6">
        <f xml:space="preserve"> 0.32+0.03</f>
        <v>0.35</v>
      </c>
      <c r="K4" s="6">
        <f t="shared" si="1"/>
        <v>0.25</v>
      </c>
      <c r="L4" s="6">
        <f>0.42+0.46</f>
        <v>0.88</v>
      </c>
      <c r="M4" s="6">
        <f>0.2+1.97</f>
        <v>2.17</v>
      </c>
      <c r="N4" s="6">
        <f t="shared" si="2"/>
        <v>0.23</v>
      </c>
      <c r="O4" s="6">
        <f>0.31+0.08</f>
        <v>0.39</v>
      </c>
      <c r="P4" s="6"/>
      <c r="Q4" s="6"/>
      <c r="R4" s="6"/>
      <c r="S4" s="6"/>
      <c r="T4" s="7"/>
      <c r="U4" s="6"/>
      <c r="V4"/>
      <c r="W4"/>
      <c r="X4"/>
      <c r="Y4"/>
      <c r="Z4"/>
      <c r="AA4"/>
      <c r="AB4"/>
      <c r="AC4"/>
      <c r="AD4"/>
      <c r="AE4"/>
      <c r="AF4"/>
      <c r="AG4"/>
      <c r="AH4"/>
      <c r="AI4"/>
    </row>
    <row r="5" spans="1:35" x14ac:dyDescent="0.2">
      <c r="A5" t="s">
        <v>17</v>
      </c>
      <c r="B5" s="6">
        <v>0.32</v>
      </c>
      <c r="C5" s="6">
        <v>0.37</v>
      </c>
      <c r="D5" s="6">
        <v>0.3</v>
      </c>
      <c r="E5" s="6">
        <f>0.445+ 0.26</f>
        <v>0.70500000000000007</v>
      </c>
      <c r="F5" s="6">
        <f xml:space="preserve"> 0.17 +0.355</f>
        <v>0.52500000000000002</v>
      </c>
      <c r="G5" s="6">
        <f xml:space="preserve"> 0.16 +0.1</f>
        <v>0.26</v>
      </c>
      <c r="H5" s="6">
        <f xml:space="preserve"> 0.21+0.01</f>
        <v>0.22</v>
      </c>
      <c r="I5" s="6">
        <f xml:space="preserve"> 0.18+0</f>
        <v>0.18</v>
      </c>
      <c r="J5" s="6">
        <f t="shared" si="0"/>
        <v>0.32</v>
      </c>
      <c r="K5" s="6">
        <f t="shared" si="1"/>
        <v>0.25</v>
      </c>
      <c r="L5" s="6">
        <f>0.42+1.78</f>
        <v>2.2000000000000002</v>
      </c>
      <c r="M5" s="6">
        <f>0.2+1.98</f>
        <v>2.1800000000000002</v>
      </c>
      <c r="N5" s="6">
        <f t="shared" si="2"/>
        <v>0.23</v>
      </c>
      <c r="O5" s="6">
        <f t="shared" si="3"/>
        <v>0.31</v>
      </c>
      <c r="P5" s="6"/>
      <c r="Q5" s="6"/>
      <c r="R5" s="6"/>
      <c r="S5" s="6"/>
      <c r="T5" s="7"/>
      <c r="U5" s="6"/>
    </row>
    <row r="6" spans="1:35" s="1" customFormat="1" x14ac:dyDescent="0.2">
      <c r="A6" t="s">
        <v>18</v>
      </c>
      <c r="B6" s="6">
        <v>0.32</v>
      </c>
      <c r="C6" s="6">
        <v>0.37</v>
      </c>
      <c r="D6" s="6">
        <v>0.3</v>
      </c>
      <c r="E6" s="6">
        <f>0.01+ 0.26</f>
        <v>0.27</v>
      </c>
      <c r="F6" s="6">
        <f xml:space="preserve"> 0.17 +0</f>
        <v>0.17</v>
      </c>
      <c r="G6" s="6">
        <f xml:space="preserve"> 0.16 +0</f>
        <v>0.16</v>
      </c>
      <c r="H6" s="6">
        <f xml:space="preserve"> 0.21+0</f>
        <v>0.21</v>
      </c>
      <c r="I6" s="6">
        <f xml:space="preserve"> 0.18+0.11</f>
        <v>0.28999999999999998</v>
      </c>
      <c r="J6" s="6">
        <f t="shared" si="0"/>
        <v>0.32</v>
      </c>
      <c r="K6" s="6">
        <f t="shared" si="1"/>
        <v>0.25</v>
      </c>
      <c r="L6" s="6">
        <f>0.42+4.6</f>
        <v>5.0199999999999996</v>
      </c>
      <c r="M6" s="6">
        <f>0.2+8.25</f>
        <v>8.4499999999999993</v>
      </c>
      <c r="N6" s="6">
        <f t="shared" si="2"/>
        <v>0.23</v>
      </c>
      <c r="O6" s="6">
        <f t="shared" si="3"/>
        <v>0.31</v>
      </c>
      <c r="P6" s="6"/>
      <c r="Q6" s="6"/>
      <c r="R6" s="6"/>
      <c r="S6" s="6"/>
      <c r="T6" s="7"/>
      <c r="U6" s="6"/>
      <c r="V6"/>
      <c r="W6"/>
      <c r="X6"/>
      <c r="Y6"/>
      <c r="Z6"/>
      <c r="AA6"/>
      <c r="AB6"/>
      <c r="AC6"/>
      <c r="AD6"/>
      <c r="AE6"/>
      <c r="AF6"/>
      <c r="AG6"/>
      <c r="AH6"/>
      <c r="AI6"/>
    </row>
    <row r="7" spans="1:35" s="1" customFormat="1" x14ac:dyDescent="0.2">
      <c r="A7" t="s">
        <v>19</v>
      </c>
      <c r="B7" s="6">
        <v>0.32</v>
      </c>
      <c r="C7" s="6">
        <f xml:space="preserve"> 0.09 + 0.37</f>
        <v>0.45999999999999996</v>
      </c>
      <c r="D7" s="6">
        <v>0.3</v>
      </c>
      <c r="E7" s="6">
        <f>1.405+ 0.26</f>
        <v>1.665</v>
      </c>
      <c r="F7" s="6">
        <f xml:space="preserve"> 0.17 +2.205</f>
        <v>2.375</v>
      </c>
      <c r="G7" s="6">
        <f xml:space="preserve"> 0.16 +0.2</f>
        <v>0.36</v>
      </c>
      <c r="H7" s="6">
        <f xml:space="preserve"> 0.21+0.16</f>
        <v>0.37</v>
      </c>
      <c r="I7" s="6">
        <f xml:space="preserve"> 0.18+0.06</f>
        <v>0.24</v>
      </c>
      <c r="J7" s="6">
        <f t="shared" si="0"/>
        <v>0.32</v>
      </c>
      <c r="K7" s="6">
        <f t="shared" si="1"/>
        <v>0.25</v>
      </c>
      <c r="L7" s="6">
        <f>0.42+4.68</f>
        <v>5.0999999999999996</v>
      </c>
      <c r="M7" s="6">
        <f>0.2+8.57</f>
        <v>8.77</v>
      </c>
      <c r="N7" s="6">
        <f>0.23+0.02</f>
        <v>0.25</v>
      </c>
      <c r="O7" s="6">
        <f t="shared" si="3"/>
        <v>0.31</v>
      </c>
      <c r="P7" s="6"/>
      <c r="Q7" s="6"/>
      <c r="R7" s="6"/>
      <c r="S7" s="6"/>
      <c r="T7" s="7"/>
      <c r="U7" s="6"/>
      <c r="V7"/>
      <c r="W7"/>
      <c r="X7"/>
      <c r="Y7"/>
      <c r="Z7"/>
      <c r="AA7"/>
      <c r="AB7"/>
      <c r="AC7"/>
      <c r="AD7"/>
      <c r="AE7"/>
      <c r="AF7"/>
      <c r="AG7"/>
      <c r="AH7"/>
      <c r="AI7"/>
    </row>
    <row r="8" spans="1:35" x14ac:dyDescent="0.2">
      <c r="A8" t="s">
        <v>20</v>
      </c>
      <c r="B8" s="6">
        <v>0.32</v>
      </c>
      <c r="C8" s="6">
        <v>0.37</v>
      </c>
      <c r="D8" s="6">
        <v>0.3</v>
      </c>
      <c r="E8" s="6">
        <f>0+ 0.26</f>
        <v>0.26</v>
      </c>
      <c r="F8" s="6">
        <f xml:space="preserve"> 0.17 +0</f>
        <v>0.17</v>
      </c>
      <c r="G8" s="6">
        <f xml:space="preserve"> 0.16 +0</f>
        <v>0.16</v>
      </c>
      <c r="H8" s="6">
        <f xml:space="preserve"> 0.21+0.15</f>
        <v>0.36</v>
      </c>
      <c r="I8" s="6">
        <f xml:space="preserve"> 0.18+1.45</f>
        <v>1.63</v>
      </c>
      <c r="J8" s="6">
        <f t="shared" si="0"/>
        <v>0.32</v>
      </c>
      <c r="K8" s="6">
        <f t="shared" si="1"/>
        <v>0.25</v>
      </c>
      <c r="L8" s="6">
        <f>0.42+21.89</f>
        <v>22.310000000000002</v>
      </c>
      <c r="M8" s="6">
        <f>0.2+25.61</f>
        <v>25.81</v>
      </c>
      <c r="N8" s="6">
        <f t="shared" si="2"/>
        <v>0.23</v>
      </c>
      <c r="O8" s="6">
        <f t="shared" si="3"/>
        <v>0.31</v>
      </c>
      <c r="P8" s="6"/>
      <c r="Q8" s="6"/>
      <c r="R8" s="6"/>
      <c r="S8" s="6"/>
      <c r="T8" s="7"/>
      <c r="U8" s="6"/>
    </row>
    <row r="9" spans="1:35" x14ac:dyDescent="0.2">
      <c r="A9" t="s">
        <v>21</v>
      </c>
      <c r="B9" s="6">
        <v>0.32</v>
      </c>
      <c r="C9" s="6">
        <v>0.37</v>
      </c>
      <c r="D9" s="6">
        <v>0.3</v>
      </c>
      <c r="E9" s="6">
        <f>1.41+ 0.26</f>
        <v>1.67</v>
      </c>
      <c r="F9" s="6">
        <f xml:space="preserve"> 0.17 +0.47</f>
        <v>0.64</v>
      </c>
      <c r="G9" s="6">
        <f xml:space="preserve"> 0.16 +0</f>
        <v>0.16</v>
      </c>
      <c r="H9" s="6">
        <f xml:space="preserve"> 0.21+5.07</f>
        <v>5.28</v>
      </c>
      <c r="I9" s="6">
        <f xml:space="preserve"> 0.18+1.84</f>
        <v>2.02</v>
      </c>
      <c r="J9" s="6">
        <f t="shared" si="0"/>
        <v>0.32</v>
      </c>
      <c r="K9" s="6">
        <f t="shared" si="1"/>
        <v>0.25</v>
      </c>
      <c r="L9" s="6">
        <f>0.42+70.16</f>
        <v>70.58</v>
      </c>
      <c r="M9" s="6">
        <f>0.2+15.19</f>
        <v>15.389999999999999</v>
      </c>
      <c r="N9" s="6">
        <f t="shared" si="2"/>
        <v>0.23</v>
      </c>
      <c r="O9" s="6">
        <f t="shared" si="3"/>
        <v>0.31</v>
      </c>
      <c r="P9" s="6"/>
      <c r="Q9" s="6"/>
      <c r="R9" s="6"/>
      <c r="S9" s="6"/>
      <c r="T9" s="7"/>
      <c r="U9" s="6"/>
    </row>
    <row r="10" spans="1:35" x14ac:dyDescent="0.2">
      <c r="A10" t="s">
        <v>22</v>
      </c>
      <c r="B10" s="6">
        <v>0.32</v>
      </c>
      <c r="C10" s="6">
        <f xml:space="preserve"> 0.02 + 0.39</f>
        <v>0.41000000000000003</v>
      </c>
      <c r="D10" s="6">
        <v>0.3</v>
      </c>
      <c r="E10" s="6">
        <f>0.535+ 0.26</f>
        <v>0.79500000000000004</v>
      </c>
      <c r="F10" s="6">
        <f xml:space="preserve"> 0.17 +0.615</f>
        <v>0.78500000000000003</v>
      </c>
      <c r="G10" s="6">
        <f xml:space="preserve"> 0.16 +0.3</f>
        <v>0.45999999999999996</v>
      </c>
      <c r="H10" s="6">
        <f xml:space="preserve"> 0.21+21.64</f>
        <v>21.85</v>
      </c>
      <c r="I10" s="6">
        <f xml:space="preserve"> 0.18+34.1</f>
        <v>34.28</v>
      </c>
      <c r="J10" s="6">
        <f t="shared" si="0"/>
        <v>0.32</v>
      </c>
      <c r="K10" s="6">
        <f t="shared" si="1"/>
        <v>0.25</v>
      </c>
      <c r="L10" s="6">
        <f>0.42+156.19</f>
        <v>156.60999999999999</v>
      </c>
      <c r="M10" s="6">
        <f>0.2+117.5</f>
        <v>117.7</v>
      </c>
      <c r="N10" s="6">
        <f t="shared" si="2"/>
        <v>0.23</v>
      </c>
      <c r="O10" s="6">
        <f t="shared" si="3"/>
        <v>0.31</v>
      </c>
      <c r="P10" s="6"/>
      <c r="Q10" s="6"/>
      <c r="R10" s="6"/>
      <c r="S10" s="6"/>
      <c r="T10" s="7"/>
      <c r="U10" s="6"/>
    </row>
    <row r="11" spans="1:35" s="1" customFormat="1" x14ac:dyDescent="0.2">
      <c r="A11" t="s">
        <v>23</v>
      </c>
      <c r="B11" s="6">
        <v>0.32</v>
      </c>
      <c r="C11" s="6">
        <v>0.37</v>
      </c>
      <c r="D11" s="6">
        <v>0.3</v>
      </c>
      <c r="E11" s="6">
        <f>0.155+ 0.26</f>
        <v>0.41500000000000004</v>
      </c>
      <c r="F11" s="6">
        <f xml:space="preserve"> 0.17 +0.035</f>
        <v>0.20500000000000002</v>
      </c>
      <c r="G11" s="6">
        <f xml:space="preserve"> 0.16 +0</f>
        <v>0.16</v>
      </c>
      <c r="H11" s="6">
        <f xml:space="preserve"> 0.21+0.33</f>
        <v>0.54</v>
      </c>
      <c r="I11" s="6">
        <f xml:space="preserve"> 0.18+0.01</f>
        <v>0.19</v>
      </c>
      <c r="J11" s="6">
        <f t="shared" si="0"/>
        <v>0.32</v>
      </c>
      <c r="K11" s="6">
        <f t="shared" si="1"/>
        <v>0.25</v>
      </c>
      <c r="L11" s="6">
        <f>0.42+2.99</f>
        <v>3.41</v>
      </c>
      <c r="M11" s="6">
        <f>0.2+0.47</f>
        <v>0.66999999999999993</v>
      </c>
      <c r="N11" s="6">
        <f t="shared" si="2"/>
        <v>0.23</v>
      </c>
      <c r="O11" s="6">
        <f t="shared" si="3"/>
        <v>0.31</v>
      </c>
      <c r="P11" s="6"/>
      <c r="Q11" s="6"/>
      <c r="R11" s="6"/>
      <c r="S11" s="6"/>
      <c r="T11" s="7"/>
      <c r="U11" s="6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</row>
    <row r="12" spans="1:35" s="1" customFormat="1" x14ac:dyDescent="0.2">
      <c r="A12" t="s">
        <v>24</v>
      </c>
      <c r="B12" s="6">
        <v>0.32</v>
      </c>
      <c r="C12" s="6">
        <v>0.37</v>
      </c>
      <c r="D12" s="6">
        <v>0.3</v>
      </c>
      <c r="E12" s="6">
        <f>2.91+ 0.26</f>
        <v>3.17</v>
      </c>
      <c r="F12" s="6">
        <f xml:space="preserve"> 0.17 +0.68</f>
        <v>0.85000000000000009</v>
      </c>
      <c r="G12" s="6">
        <f xml:space="preserve"> 0.16 +0</f>
        <v>0.16</v>
      </c>
      <c r="H12" s="6">
        <f xml:space="preserve"> 0.21+0</f>
        <v>0.21</v>
      </c>
      <c r="I12" s="6">
        <f xml:space="preserve"> 0.18+0</f>
        <v>0.18</v>
      </c>
      <c r="J12" s="6">
        <f t="shared" si="0"/>
        <v>0.32</v>
      </c>
      <c r="K12" s="6">
        <f t="shared" si="1"/>
        <v>0.25</v>
      </c>
      <c r="L12" s="6">
        <f>0.42+0</f>
        <v>0.42</v>
      </c>
      <c r="M12" s="6">
        <f>0.2+0.33</f>
        <v>0.53</v>
      </c>
      <c r="N12" s="6">
        <f t="shared" si="2"/>
        <v>0.23</v>
      </c>
      <c r="O12" s="6">
        <f t="shared" si="3"/>
        <v>0.31</v>
      </c>
      <c r="P12" s="6"/>
      <c r="Q12" s="6"/>
      <c r="R12" s="6"/>
      <c r="S12" s="6"/>
      <c r="T12" s="7"/>
      <c r="U12" s="6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</row>
    <row r="13" spans="1:35" s="1" customFormat="1" x14ac:dyDescent="0.2">
      <c r="A13" t="s">
        <v>25</v>
      </c>
      <c r="B13" s="6">
        <v>0.32</v>
      </c>
      <c r="C13" s="6">
        <v>0.37</v>
      </c>
      <c r="D13" s="6">
        <v>0.3</v>
      </c>
      <c r="E13" s="6">
        <f>0+ 0.26</f>
        <v>0.26</v>
      </c>
      <c r="F13" s="6">
        <f xml:space="preserve"> 0.17 +0.175</f>
        <v>0.34499999999999997</v>
      </c>
      <c r="G13" s="6">
        <f xml:space="preserve"> 0.16 +0.01</f>
        <v>0.17</v>
      </c>
      <c r="H13" s="6">
        <f xml:space="preserve"> 0.21+0.27</f>
        <v>0.48</v>
      </c>
      <c r="I13" s="6">
        <f xml:space="preserve"> 0.18+0.44</f>
        <v>0.62</v>
      </c>
      <c r="J13" s="6">
        <f t="shared" si="0"/>
        <v>0.32</v>
      </c>
      <c r="K13" s="6">
        <f>0.25+0.085</f>
        <v>0.33500000000000002</v>
      </c>
      <c r="L13" s="6">
        <f>0.42+3.07</f>
        <v>3.4899999999999998</v>
      </c>
      <c r="M13" s="6">
        <f>0.2+16.06</f>
        <v>16.259999999999998</v>
      </c>
      <c r="N13" s="6">
        <f>0.23+0.06</f>
        <v>0.29000000000000004</v>
      </c>
      <c r="O13" s="6">
        <f t="shared" si="3"/>
        <v>0.31</v>
      </c>
      <c r="P13" s="6"/>
      <c r="Q13" s="6"/>
      <c r="R13" s="6"/>
      <c r="S13" s="6"/>
      <c r="T13" s="7"/>
      <c r="U13" s="6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</row>
    <row r="14" spans="1:35" x14ac:dyDescent="0.2">
      <c r="A14" t="s">
        <v>26</v>
      </c>
      <c r="B14" s="6">
        <v>0.32</v>
      </c>
      <c r="C14" s="6">
        <v>0.37</v>
      </c>
      <c r="D14" s="6">
        <v>0.3</v>
      </c>
      <c r="E14" s="6">
        <f>0.55+ 0.26</f>
        <v>0.81</v>
      </c>
      <c r="F14" s="6">
        <f xml:space="preserve"> 0.17 +0.63</f>
        <v>0.8</v>
      </c>
      <c r="G14" s="6">
        <f xml:space="preserve"> 0.16 +0</f>
        <v>0.16</v>
      </c>
      <c r="H14" s="6">
        <f xml:space="preserve"> 0.21+5.42</f>
        <v>5.63</v>
      </c>
      <c r="I14" s="6">
        <f xml:space="preserve"> 0.18+1.71</f>
        <v>1.89</v>
      </c>
      <c r="J14" s="6">
        <f t="shared" si="0"/>
        <v>0.32</v>
      </c>
      <c r="K14" s="6">
        <f>0.25+0</f>
        <v>0.25</v>
      </c>
      <c r="L14" s="6">
        <f>0.42+71.08</f>
        <v>71.5</v>
      </c>
      <c r="M14" s="6">
        <f>0.2+13.37</f>
        <v>13.569999999999999</v>
      </c>
      <c r="N14" s="6">
        <f t="shared" si="2"/>
        <v>0.23</v>
      </c>
      <c r="O14" s="6">
        <f t="shared" si="3"/>
        <v>0.31</v>
      </c>
      <c r="P14" s="6"/>
      <c r="Q14" s="6"/>
      <c r="R14" s="6"/>
      <c r="S14" s="6"/>
      <c r="T14" s="7"/>
      <c r="U14" s="6"/>
    </row>
    <row r="15" spans="1:35" s="1" customFormat="1" x14ac:dyDescent="0.2">
      <c r="A15" t="s">
        <v>27</v>
      </c>
      <c r="B15" s="6">
        <v>0.32</v>
      </c>
      <c r="C15" s="6">
        <v>0.37</v>
      </c>
      <c r="D15" s="6">
        <v>0.3</v>
      </c>
      <c r="E15" s="6">
        <f>0.115+ 0.26</f>
        <v>0.375</v>
      </c>
      <c r="F15" s="6">
        <f xml:space="preserve"> 0.17 +0.075</f>
        <v>0.245</v>
      </c>
      <c r="G15" s="6">
        <f xml:space="preserve"> 0.16 +0</f>
        <v>0.16</v>
      </c>
      <c r="H15" s="6">
        <f xml:space="preserve"> 0.21+0.71</f>
        <v>0.91999999999999993</v>
      </c>
      <c r="I15" s="6">
        <f xml:space="preserve"> 0.18+0.3</f>
        <v>0.48</v>
      </c>
      <c r="J15" s="6">
        <f t="shared" si="0"/>
        <v>0.32</v>
      </c>
      <c r="K15" s="6">
        <f>0.25+0.045</f>
        <v>0.29499999999999998</v>
      </c>
      <c r="L15" s="6">
        <f>0.42+18.35</f>
        <v>18.770000000000003</v>
      </c>
      <c r="M15" s="6">
        <f>0.2+5.06</f>
        <v>5.26</v>
      </c>
      <c r="N15" s="6">
        <f t="shared" si="2"/>
        <v>0.23</v>
      </c>
      <c r="O15" s="6">
        <f t="shared" ref="O15:O17" si="4">0.31+0</f>
        <v>0.31</v>
      </c>
      <c r="P15" s="6"/>
      <c r="Q15" s="6"/>
      <c r="R15" s="6"/>
      <c r="S15" s="6"/>
      <c r="T15" s="7"/>
      <c r="U15" s="6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</row>
    <row r="16" spans="1:35" x14ac:dyDescent="0.2">
      <c r="A16" t="s">
        <v>28</v>
      </c>
      <c r="B16" s="6">
        <v>0.32</v>
      </c>
      <c r="C16" s="6">
        <f>0.3+0.37</f>
        <v>0.66999999999999993</v>
      </c>
      <c r="D16" s="6">
        <v>0.3</v>
      </c>
      <c r="E16" s="6">
        <f>76.785+ 0.26</f>
        <v>77.045000000000002</v>
      </c>
      <c r="F16" s="6">
        <f xml:space="preserve"> 0.17 +7.015</f>
        <v>7.1849999999999996</v>
      </c>
      <c r="G16" s="6">
        <f xml:space="preserve"> 0.16 +0.15</f>
        <v>0.31</v>
      </c>
      <c r="H16" s="6">
        <f xml:space="preserve"> 0.21+0.05</f>
        <v>0.26</v>
      </c>
      <c r="I16" s="6">
        <f xml:space="preserve"> 0.18+0</f>
        <v>0.18</v>
      </c>
      <c r="J16" s="6">
        <f t="shared" si="0"/>
        <v>0.32</v>
      </c>
      <c r="K16" s="6">
        <f t="shared" ref="K16:K17" si="5">0.25+0</f>
        <v>0.25</v>
      </c>
      <c r="L16" s="6">
        <f>0.42+0.25</f>
        <v>0.66999999999999993</v>
      </c>
      <c r="M16" s="6">
        <f>0.2+0.06</f>
        <v>0.26</v>
      </c>
      <c r="N16" s="6">
        <f t="shared" si="2"/>
        <v>0.23</v>
      </c>
      <c r="O16" s="6">
        <f t="shared" si="4"/>
        <v>0.31</v>
      </c>
      <c r="P16" s="6"/>
      <c r="Q16" s="6"/>
      <c r="R16" s="6"/>
      <c r="S16" s="6"/>
      <c r="T16" s="7"/>
      <c r="U16" s="6"/>
    </row>
    <row r="17" spans="1:35" s="1" customFormat="1" x14ac:dyDescent="0.2">
      <c r="A17" t="s">
        <v>29</v>
      </c>
      <c r="B17" s="6">
        <v>0.32</v>
      </c>
      <c r="C17" s="6">
        <f xml:space="preserve"> 0.01 + 0.37</f>
        <v>0.38</v>
      </c>
      <c r="D17" s="6">
        <v>0.3</v>
      </c>
      <c r="E17" s="6">
        <f>0.115+ 0.26</f>
        <v>0.375</v>
      </c>
      <c r="F17" s="6">
        <f xml:space="preserve"> 0.17 +0.505</f>
        <v>0.67500000000000004</v>
      </c>
      <c r="G17" s="6">
        <f xml:space="preserve"> 0.16 +0</f>
        <v>0.16</v>
      </c>
      <c r="H17" s="6">
        <f xml:space="preserve"> 0.21+0.01</f>
        <v>0.22</v>
      </c>
      <c r="I17" s="6">
        <f xml:space="preserve"> 0.18+0</f>
        <v>0.18</v>
      </c>
      <c r="J17" s="6">
        <f t="shared" si="0"/>
        <v>0.32</v>
      </c>
      <c r="K17" s="6">
        <f t="shared" si="5"/>
        <v>0.25</v>
      </c>
      <c r="L17" s="6">
        <f>0.42+0.33</f>
        <v>0.75</v>
      </c>
      <c r="M17" s="6">
        <f>0.2+1.79</f>
        <v>1.99</v>
      </c>
      <c r="N17" s="6">
        <f t="shared" si="2"/>
        <v>0.23</v>
      </c>
      <c r="O17" s="6">
        <f t="shared" si="4"/>
        <v>0.31</v>
      </c>
      <c r="P17" s="6"/>
      <c r="Q17" s="6"/>
      <c r="R17" s="6"/>
      <c r="S17" s="6"/>
      <c r="T17" s="7"/>
      <c r="U17" s="6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Qualitative</vt:lpstr>
      <vt:lpstr>Quantitative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Wagner</dc:creator>
  <cp:lastModifiedBy>Ellen Wagner</cp:lastModifiedBy>
  <dcterms:created xsi:type="dcterms:W3CDTF">2023-06-05T18:34:48Z</dcterms:created>
  <dcterms:modified xsi:type="dcterms:W3CDTF">2024-09-19T19:38:57Z</dcterms:modified>
</cp:coreProperties>
</file>